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aqilah_hamid\Downloads\"/>
    </mc:Choice>
  </mc:AlternateContent>
  <xr:revisionPtr revIDLastSave="0" documentId="8_{B17FCCA2-1403-497F-9AF9-79AB02151EBE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Metadata" sheetId="2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" i="1" l="1"/>
  <c r="X8" i="1"/>
  <c r="X17" i="1" l="1"/>
  <c r="X16" i="1"/>
  <c r="X9" i="1"/>
  <c r="W14" i="1"/>
  <c r="W13" i="1"/>
  <c r="W12" i="1"/>
  <c r="W11" i="1"/>
  <c r="W10" i="1" s="1"/>
  <c r="W6" i="1"/>
  <c r="W9" i="1" s="1"/>
  <c r="W17" i="1" l="1"/>
  <c r="W16" i="1"/>
  <c r="W8" i="1"/>
  <c r="U14" i="1"/>
  <c r="M14" i="1"/>
  <c r="U13" i="1" l="1"/>
  <c r="U12" i="1"/>
  <c r="U11" i="1"/>
  <c r="T11" i="1" l="1"/>
  <c r="U10" i="1" l="1"/>
  <c r="T14" i="1"/>
  <c r="T13" i="1"/>
  <c r="T10" i="1" s="1"/>
  <c r="T12" i="1"/>
  <c r="T6" i="1"/>
  <c r="U8" i="1" l="1"/>
  <c r="U9" i="1"/>
  <c r="U17" i="1"/>
  <c r="U16" i="1"/>
  <c r="M16" i="1"/>
  <c r="L16" i="1"/>
  <c r="K16" i="1"/>
  <c r="S14" i="1"/>
  <c r="R14" i="1"/>
  <c r="Q14" i="1"/>
  <c r="P14" i="1"/>
  <c r="O14" i="1"/>
  <c r="N14" i="1"/>
  <c r="L14" i="1"/>
  <c r="K14" i="1"/>
  <c r="S13" i="1"/>
  <c r="R13" i="1"/>
  <c r="Q13" i="1"/>
  <c r="P13" i="1"/>
  <c r="O13" i="1"/>
  <c r="N13" i="1"/>
  <c r="M13" i="1"/>
  <c r="L13" i="1"/>
  <c r="K13" i="1"/>
  <c r="S12" i="1"/>
  <c r="R12" i="1"/>
  <c r="Q12" i="1"/>
  <c r="P12" i="1"/>
  <c r="O12" i="1"/>
  <c r="N12" i="1"/>
  <c r="M12" i="1"/>
  <c r="L12" i="1"/>
  <c r="K12" i="1"/>
  <c r="S11" i="1"/>
  <c r="R11" i="1"/>
  <c r="Q11" i="1"/>
  <c r="P11" i="1"/>
  <c r="O11" i="1"/>
  <c r="N11" i="1"/>
  <c r="M11" i="1"/>
  <c r="L11" i="1"/>
  <c r="K11" i="1"/>
  <c r="L10" i="1"/>
  <c r="K10" i="1"/>
  <c r="M8" i="1"/>
  <c r="L8" i="1"/>
  <c r="K8" i="1"/>
  <c r="S6" i="1"/>
  <c r="R6" i="1"/>
  <c r="Q6" i="1"/>
  <c r="Q8" i="1" s="1"/>
  <c r="P6" i="1"/>
  <c r="O6" i="1"/>
  <c r="N6" i="1"/>
  <c r="M6" i="1"/>
  <c r="N9" i="1" s="1"/>
  <c r="L6" i="1"/>
  <c r="K6" i="1"/>
  <c r="P10" i="1" l="1"/>
  <c r="P17" i="1" s="1"/>
  <c r="N8" i="1"/>
  <c r="R8" i="1"/>
  <c r="O9" i="1"/>
  <c r="S9" i="1"/>
  <c r="T9" i="1"/>
  <c r="O8" i="1"/>
  <c r="P8" i="1"/>
  <c r="S8" i="1"/>
  <c r="O10" i="1"/>
  <c r="S10" i="1"/>
  <c r="N10" i="1"/>
  <c r="N17" i="1" s="1"/>
  <c r="R10" i="1"/>
  <c r="M10" i="1"/>
  <c r="Q10" i="1"/>
  <c r="Q16" i="1" s="1"/>
  <c r="T8" i="1"/>
  <c r="S17" i="1"/>
  <c r="P16" i="1"/>
  <c r="O17" i="1"/>
  <c r="O16" i="1"/>
  <c r="P9" i="1"/>
  <c r="Q9" i="1"/>
  <c r="R9" i="1"/>
  <c r="R17" i="1" l="1"/>
  <c r="Q17" i="1"/>
  <c r="N16" i="1"/>
  <c r="R16" i="1"/>
  <c r="T17" i="1"/>
  <c r="T16" i="1"/>
  <c r="S16" i="1"/>
</calcChain>
</file>

<file path=xl/sharedStrings.xml><?xml version="1.0" encoding="utf-8"?>
<sst xmlns="http://schemas.openxmlformats.org/spreadsheetml/2006/main" count="79" uniqueCount="39">
  <si>
    <t>Generation Capacity (MW)</t>
  </si>
  <si>
    <t>Peak Demand (MW)</t>
  </si>
  <si>
    <t>Production (GWh)</t>
  </si>
  <si>
    <t xml:space="preserve">Increase in Production over Previous Year </t>
  </si>
  <si>
    <t>GWh</t>
  </si>
  <si>
    <t>Percentage</t>
  </si>
  <si>
    <t>Consumption (GWh)</t>
  </si>
  <si>
    <t>Residential</t>
  </si>
  <si>
    <t>…</t>
  </si>
  <si>
    <t>Commercial</t>
  </si>
  <si>
    <t>Government</t>
  </si>
  <si>
    <t>Others</t>
  </si>
  <si>
    <t xml:space="preserve">Increase in Consumption over Previous Year </t>
  </si>
  <si>
    <t>Coverage in Electricity Supply (Percentage)</t>
  </si>
  <si>
    <t>Production and Consumption of Electricity</t>
  </si>
  <si>
    <t>Source:</t>
  </si>
  <si>
    <t>Title of dataset:</t>
  </si>
  <si>
    <t>Definition / Concept:</t>
  </si>
  <si>
    <t>Frequency:</t>
  </si>
  <si>
    <t xml:space="preserve">Annual
</t>
  </si>
  <si>
    <t>Unit of measure:</t>
  </si>
  <si>
    <t>Level of disaggregation:</t>
  </si>
  <si>
    <t>Footnote:</t>
  </si>
  <si>
    <t xml:space="preserve">-
</t>
  </si>
  <si>
    <t>Data source:</t>
  </si>
  <si>
    <t>Availability (start &amp; end periods):</t>
  </si>
  <si>
    <t>URL for direct access to data series/ statistical table:</t>
  </si>
  <si>
    <t xml:space="preserve">http://www.deps.gov.bn/SitePages/eData%20library.aspx
</t>
  </si>
  <si>
    <t xml:space="preserve">Formats for download: </t>
  </si>
  <si>
    <t xml:space="preserve">xlsx
</t>
  </si>
  <si>
    <t xml:space="preserve">URL to terms of use: </t>
  </si>
  <si>
    <t xml:space="preserve">Data last updated: </t>
  </si>
  <si>
    <t>- Mega Watt;
- Giga Watt hour; and
- Percentage.</t>
  </si>
  <si>
    <t>- Generation Capacity;
- Peak demand;
- Production; 
- Consumption; and 
- Coverage.</t>
  </si>
  <si>
    <t>The Department of Electrical Services (DES), under the Ministry of Energy is responsible for the operation and development of the electricity sector. 
As a service provider, DES is responsible to set standards for the implementation of electricity usage in public buildings as well as overseeing their overall Electro-Mechanical maintenance.</t>
  </si>
  <si>
    <t xml:space="preserve"> - Department of Energy, Prime Minister's Office</t>
  </si>
  <si>
    <t>Department of Energy, Prime Minister's Office</t>
  </si>
  <si>
    <t>2000-2022</t>
  </si>
  <si>
    <t>Yearly - Production and Consumption of Electricity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</si>
</sst>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"/>
    <numFmt numFmtId="165" formatCode="#,##0.0_);\(#,##0.0\)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 applyNumberFormat="0" applyFont="0" applyFill="0" applyBorder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2" fillId="0" borderId="1" xfId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2" fillId="0" borderId="2" xfId="1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left" vertical="center"/>
    </xf>
    <xf numFmtId="4" fontId="1" fillId="0" borderId="3" xfId="1" applyNumberFormat="1" applyFont="1" applyFill="1" applyBorder="1" applyAlignment="1">
      <alignment horizontal="right" vertical="center" wrapText="1"/>
    </xf>
    <xf numFmtId="4" fontId="1" fillId="0" borderId="3" xfId="1" applyNumberFormat="1" applyFont="1" applyFill="1" applyBorder="1" applyAlignment="1">
      <alignment horizontal="right" vertical="center"/>
    </xf>
    <xf numFmtId="4" fontId="1" fillId="0" borderId="3" xfId="1" applyNumberFormat="1" applyFont="1" applyFill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0" fontId="1" fillId="0" borderId="4" xfId="1" applyFont="1" applyFill="1" applyBorder="1" applyAlignment="1" applyProtection="1">
      <alignment horizontal="left" vertical="center" indent="2"/>
    </xf>
    <xf numFmtId="39" fontId="1" fillId="0" borderId="3" xfId="1" applyNumberFormat="1" applyFont="1" applyFill="1" applyBorder="1" applyAlignment="1">
      <alignment horizontal="right" vertical="center"/>
    </xf>
    <xf numFmtId="0" fontId="1" fillId="0" borderId="4" xfId="1" applyFont="1" applyFill="1" applyBorder="1" applyAlignment="1">
      <alignment horizontal="left" vertical="center" indent="2"/>
    </xf>
    <xf numFmtId="2" fontId="1" fillId="0" borderId="3" xfId="1" applyNumberFormat="1" applyFont="1" applyFill="1" applyBorder="1" applyAlignment="1">
      <alignment horizontal="right" vertical="center"/>
    </xf>
    <xf numFmtId="4" fontId="1" fillId="2" borderId="3" xfId="1" applyNumberFormat="1" applyFont="1" applyFill="1" applyBorder="1" applyAlignment="1">
      <alignment horizontal="right" vertical="center"/>
    </xf>
    <xf numFmtId="0" fontId="1" fillId="0" borderId="3" xfId="2" applyFont="1" applyFill="1" applyBorder="1" applyAlignment="1">
      <alignment vertical="center"/>
    </xf>
    <xf numFmtId="0" fontId="1" fillId="0" borderId="3" xfId="1" applyFont="1" applyFill="1" applyBorder="1" applyAlignment="1">
      <alignment horizontal="right" vertical="center"/>
    </xf>
    <xf numFmtId="0" fontId="1" fillId="0" borderId="0" xfId="3" applyFont="1" applyFill="1" applyAlignment="1" applyProtection="1">
      <alignment horizontal="left" vertical="center"/>
    </xf>
    <xf numFmtId="0" fontId="1" fillId="0" borderId="0" xfId="3" applyFont="1" applyFill="1" applyAlignment="1">
      <alignment vertical="center"/>
    </xf>
    <xf numFmtId="0" fontId="1" fillId="0" borderId="0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left" vertical="center"/>
    </xf>
    <xf numFmtId="164" fontId="5" fillId="0" borderId="0" xfId="1" applyNumberFormat="1" applyFont="1" applyFill="1" applyBorder="1" applyAlignment="1" applyProtection="1">
      <alignment horizontal="right" vertical="center" wrapText="1"/>
    </xf>
    <xf numFmtId="165" fontId="5" fillId="0" borderId="0" xfId="1" applyNumberFormat="1" applyFont="1" applyFill="1" applyBorder="1" applyAlignment="1" applyProtection="1">
      <alignment horizontal="right" vertical="center" wrapText="1"/>
    </xf>
    <xf numFmtId="4" fontId="1" fillId="0" borderId="5" xfId="1" applyNumberFormat="1" applyFont="1" applyFill="1" applyBorder="1" applyAlignment="1">
      <alignment horizontal="right" vertical="center" wrapText="1"/>
    </xf>
    <xf numFmtId="4" fontId="1" fillId="0" borderId="4" xfId="1" applyNumberFormat="1" applyFont="1" applyFill="1" applyBorder="1" applyAlignment="1">
      <alignment vertical="center"/>
    </xf>
    <xf numFmtId="4" fontId="1" fillId="0" borderId="5" xfId="1" applyNumberFormat="1" applyFont="1" applyFill="1" applyBorder="1" applyAlignment="1">
      <alignment horizontal="right" vertical="center"/>
    </xf>
    <xf numFmtId="0" fontId="1" fillId="0" borderId="5" xfId="1" applyFont="1" applyFill="1" applyBorder="1" applyAlignment="1">
      <alignment vertical="center"/>
    </xf>
    <xf numFmtId="4" fontId="1" fillId="0" borderId="4" xfId="1" applyNumberFormat="1" applyFont="1" applyFill="1" applyBorder="1" applyAlignment="1">
      <alignment horizontal="right" vertical="center" wrapText="1"/>
    </xf>
    <xf numFmtId="4" fontId="1" fillId="0" borderId="4" xfId="1" applyNumberFormat="1" applyFont="1" applyFill="1" applyBorder="1" applyAlignment="1">
      <alignment horizontal="right" vertical="center"/>
    </xf>
    <xf numFmtId="0" fontId="1" fillId="0" borderId="4" xfId="1" applyFont="1" applyFill="1" applyBorder="1" applyAlignment="1">
      <alignment vertical="center"/>
    </xf>
    <xf numFmtId="0" fontId="3" fillId="0" borderId="1" xfId="0" applyFont="1" applyBorder="1"/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3" fillId="0" borderId="4" xfId="0" applyFont="1" applyFill="1" applyBorder="1" applyAlignment="1">
      <alignment wrapText="1"/>
    </xf>
    <xf numFmtId="0" fontId="1" fillId="0" borderId="4" xfId="0" quotePrefix="1" applyFont="1" applyFill="1" applyBorder="1" applyAlignment="1">
      <alignment vertical="top" wrapText="1"/>
    </xf>
    <xf numFmtId="0" fontId="3" fillId="0" borderId="4" xfId="0" quotePrefix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8" fillId="0" borderId="4" xfId="5" applyFont="1" applyFill="1" applyBorder="1" applyAlignment="1">
      <alignment vertical="top" wrapText="1"/>
    </xf>
    <xf numFmtId="0" fontId="3" fillId="0" borderId="4" xfId="0" quotePrefix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/>
    </xf>
    <xf numFmtId="14" fontId="3" fillId="0" borderId="4" xfId="0" applyNumberFormat="1" applyFont="1" applyFill="1" applyBorder="1" applyAlignment="1">
      <alignment horizontal="left" vertical="top"/>
    </xf>
    <xf numFmtId="0" fontId="3" fillId="0" borderId="4" xfId="0" quotePrefix="1" applyFont="1" applyFill="1" applyBorder="1" applyAlignment="1">
      <alignment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0" xfId="0" applyFont="1" applyBorder="1"/>
    <xf numFmtId="4" fontId="1" fillId="0" borderId="4" xfId="1" applyNumberFormat="1" applyFont="1" applyFill="1" applyBorder="1" applyAlignment="1">
      <alignment vertical="top"/>
    </xf>
    <xf numFmtId="4" fontId="1" fillId="2" borderId="4" xfId="1" applyNumberFormat="1" applyFont="1" applyFill="1" applyBorder="1" applyAlignment="1">
      <alignment horizontal="right" vertical="center"/>
    </xf>
    <xf numFmtId="4" fontId="1" fillId="0" borderId="3" xfId="2" applyNumberFormat="1" applyFont="1" applyFill="1" applyBorder="1" applyAlignment="1">
      <alignment vertical="center"/>
    </xf>
    <xf numFmtId="4" fontId="1" fillId="0" borderId="5" xfId="1" applyNumberFormat="1" applyFont="1" applyFill="1" applyBorder="1" applyAlignment="1">
      <alignment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 wrapText="1"/>
    </xf>
  </cellXfs>
  <cellStyles count="6">
    <cellStyle name="Hyperlink" xfId="5" builtinId="8"/>
    <cellStyle name="Normal" xfId="0" builtinId="0"/>
    <cellStyle name="Normal 2" xfId="2" xr:uid="{00000000-0005-0000-0000-000002000000}"/>
    <cellStyle name="Normal_4" xfId="3" xr:uid="{00000000-0005-0000-0000-000003000000}"/>
    <cellStyle name="Normal_5" xfId="1" xr:uid="{00000000-0005-0000-0000-000004000000}"/>
    <cellStyle name="Normal_6_1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ps.gov.bn/SitePages/eData%20librar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3"/>
  <sheetViews>
    <sheetView tabSelected="1" workbookViewId="0">
      <selection activeCell="B2" sqref="B2"/>
    </sheetView>
  </sheetViews>
  <sheetFormatPr defaultColWidth="8.7109375" defaultRowHeight="15" x14ac:dyDescent="0.2"/>
  <cols>
    <col min="1" max="1" width="4.140625" style="41" customWidth="1"/>
    <col min="2" max="2" width="52.7109375" style="41" customWidth="1"/>
    <col min="3" max="3" width="143.5703125" style="41" customWidth="1"/>
    <col min="4" max="16384" width="8.7109375" style="41"/>
  </cols>
  <sheetData>
    <row r="2" spans="2:3" x14ac:dyDescent="0.2">
      <c r="B2" s="39" t="s">
        <v>16</v>
      </c>
      <c r="C2" s="40" t="s">
        <v>38</v>
      </c>
    </row>
    <row r="3" spans="2:3" ht="81" customHeight="1" x14ac:dyDescent="0.2">
      <c r="B3" s="39" t="s">
        <v>17</v>
      </c>
      <c r="C3" s="51" t="s">
        <v>34</v>
      </c>
    </row>
    <row r="4" spans="2:3" ht="30" x14ac:dyDescent="0.2">
      <c r="B4" s="39" t="s">
        <v>18</v>
      </c>
      <c r="C4" s="42" t="s">
        <v>19</v>
      </c>
    </row>
    <row r="5" spans="2:3" ht="45" x14ac:dyDescent="0.2">
      <c r="B5" s="39" t="s">
        <v>20</v>
      </c>
      <c r="C5" s="50" t="s">
        <v>32</v>
      </c>
    </row>
    <row r="6" spans="2:3" ht="81.75" customHeight="1" x14ac:dyDescent="0.2">
      <c r="B6" s="39" t="s">
        <v>21</v>
      </c>
      <c r="C6" s="43" t="s">
        <v>33</v>
      </c>
    </row>
    <row r="7" spans="2:3" ht="30" x14ac:dyDescent="0.2">
      <c r="B7" s="39" t="s">
        <v>22</v>
      </c>
      <c r="C7" s="44" t="s">
        <v>23</v>
      </c>
    </row>
    <row r="8" spans="2:3" x14ac:dyDescent="0.2">
      <c r="B8" s="39" t="s">
        <v>24</v>
      </c>
      <c r="C8" s="45" t="s">
        <v>36</v>
      </c>
    </row>
    <row r="9" spans="2:3" x14ac:dyDescent="0.2">
      <c r="B9" s="39" t="s">
        <v>25</v>
      </c>
      <c r="C9" s="40" t="s">
        <v>37</v>
      </c>
    </row>
    <row r="10" spans="2:3" ht="30" x14ac:dyDescent="0.2">
      <c r="B10" s="39" t="s">
        <v>26</v>
      </c>
      <c r="C10" s="46" t="s">
        <v>27</v>
      </c>
    </row>
    <row r="11" spans="2:3" ht="30" x14ac:dyDescent="0.2">
      <c r="B11" s="39" t="s">
        <v>28</v>
      </c>
      <c r="C11" s="40" t="s">
        <v>29</v>
      </c>
    </row>
    <row r="12" spans="2:3" ht="30" x14ac:dyDescent="0.2">
      <c r="B12" s="39" t="s">
        <v>30</v>
      </c>
      <c r="C12" s="47" t="s">
        <v>23</v>
      </c>
    </row>
    <row r="13" spans="2:3" ht="33" customHeight="1" x14ac:dyDescent="0.2">
      <c r="B13" s="48" t="s">
        <v>31</v>
      </c>
      <c r="C13" s="49">
        <v>45207</v>
      </c>
    </row>
  </sheetData>
  <hyperlinks>
    <hyperlink ref="C10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69"/>
  <sheetViews>
    <sheetView zoomScaleNormal="100" workbookViewId="0">
      <selection activeCell="E27" sqref="E27"/>
    </sheetView>
  </sheetViews>
  <sheetFormatPr defaultRowHeight="15" x14ac:dyDescent="0.2"/>
  <cols>
    <col min="1" max="1" width="52.7109375" style="1" customWidth="1"/>
    <col min="2" max="19" width="12.7109375" style="4" customWidth="1"/>
    <col min="20" max="22" width="12.7109375" style="1" customWidth="1"/>
    <col min="23" max="24" width="13" style="1" customWidth="1"/>
    <col min="25" max="16384" width="9.140625" style="1"/>
  </cols>
  <sheetData>
    <row r="1" spans="1:24" ht="15.75" customHeight="1" x14ac:dyDescent="0.2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4" ht="15.75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5"/>
      <c r="T2" s="38"/>
      <c r="U2" s="38"/>
      <c r="V2" s="52"/>
    </row>
    <row r="3" spans="1:24" ht="15.75" x14ac:dyDescent="0.2">
      <c r="A3" s="6"/>
      <c r="B3" s="57">
        <v>2000</v>
      </c>
      <c r="C3" s="57">
        <v>2001</v>
      </c>
      <c r="D3" s="57">
        <v>2002</v>
      </c>
      <c r="E3" s="57">
        <v>2003</v>
      </c>
      <c r="F3" s="57">
        <v>2004</v>
      </c>
      <c r="G3" s="57">
        <v>2005</v>
      </c>
      <c r="H3" s="57">
        <v>2006</v>
      </c>
      <c r="I3" s="57">
        <v>2007</v>
      </c>
      <c r="J3" s="57">
        <v>2008</v>
      </c>
      <c r="K3" s="57">
        <v>2009</v>
      </c>
      <c r="L3" s="57">
        <v>2010</v>
      </c>
      <c r="M3" s="57">
        <v>2011</v>
      </c>
      <c r="N3" s="57">
        <v>2012</v>
      </c>
      <c r="O3" s="57">
        <v>2013</v>
      </c>
      <c r="P3" s="57">
        <v>2014</v>
      </c>
      <c r="Q3" s="57">
        <v>2015</v>
      </c>
      <c r="R3" s="57">
        <v>2016</v>
      </c>
      <c r="S3" s="58">
        <v>2017</v>
      </c>
      <c r="T3" s="59">
        <v>2018</v>
      </c>
      <c r="U3" s="59">
        <v>2019</v>
      </c>
      <c r="V3" s="59">
        <v>2020</v>
      </c>
      <c r="W3" s="59">
        <v>2021</v>
      </c>
      <c r="X3" s="59">
        <v>2022</v>
      </c>
    </row>
    <row r="4" spans="1:24" ht="15.75" x14ac:dyDescent="0.2">
      <c r="A4" s="7" t="s">
        <v>0</v>
      </c>
      <c r="B4" s="8">
        <v>705.1</v>
      </c>
      <c r="C4" s="8">
        <v>711.1</v>
      </c>
      <c r="D4" s="8">
        <v>810.1</v>
      </c>
      <c r="E4" s="8">
        <v>810.1</v>
      </c>
      <c r="F4" s="8">
        <v>810.1</v>
      </c>
      <c r="G4" s="8">
        <v>690.5</v>
      </c>
      <c r="H4" s="8">
        <v>760.5</v>
      </c>
      <c r="I4" s="8">
        <v>729.1</v>
      </c>
      <c r="J4" s="8">
        <v>878.5</v>
      </c>
      <c r="K4" s="8">
        <v>740.3</v>
      </c>
      <c r="L4" s="8">
        <v>741.9</v>
      </c>
      <c r="M4" s="9">
        <v>745.9</v>
      </c>
      <c r="N4" s="8">
        <v>768.3</v>
      </c>
      <c r="O4" s="8">
        <v>774.7</v>
      </c>
      <c r="P4" s="8">
        <v>777</v>
      </c>
      <c r="Q4" s="8">
        <v>777.7</v>
      </c>
      <c r="R4" s="8">
        <v>777.7</v>
      </c>
      <c r="S4" s="31">
        <v>856.7</v>
      </c>
      <c r="T4" s="35">
        <v>863.7</v>
      </c>
      <c r="U4" s="35">
        <v>917.2</v>
      </c>
      <c r="V4" s="35">
        <v>917.2</v>
      </c>
      <c r="W4" s="53">
        <v>899.2</v>
      </c>
      <c r="X4" s="53">
        <v>899.2</v>
      </c>
    </row>
    <row r="5" spans="1:24" ht="15.75" x14ac:dyDescent="0.2">
      <c r="A5" s="7" t="s">
        <v>1</v>
      </c>
      <c r="B5" s="10">
        <v>398.5</v>
      </c>
      <c r="C5" s="10">
        <v>412.3</v>
      </c>
      <c r="D5" s="10">
        <v>425.9</v>
      </c>
      <c r="E5" s="10">
        <v>417.4</v>
      </c>
      <c r="F5" s="10">
        <v>454.2</v>
      </c>
      <c r="G5" s="10">
        <v>457.9</v>
      </c>
      <c r="H5" s="10">
        <v>454.1</v>
      </c>
      <c r="I5" s="10">
        <v>469.7</v>
      </c>
      <c r="J5" s="10">
        <v>482.2</v>
      </c>
      <c r="K5" s="10">
        <v>607.20000000000005</v>
      </c>
      <c r="L5" s="10">
        <v>581.51</v>
      </c>
      <c r="M5" s="9">
        <v>573.05999999999995</v>
      </c>
      <c r="N5" s="9">
        <v>595.29</v>
      </c>
      <c r="O5" s="9">
        <v>600.74</v>
      </c>
      <c r="P5" s="9">
        <v>642.59</v>
      </c>
      <c r="Q5" s="9">
        <v>642.19000000000005</v>
      </c>
      <c r="R5" s="9">
        <v>656.54</v>
      </c>
      <c r="S5" s="33">
        <v>627.19000000000005</v>
      </c>
      <c r="T5" s="36">
        <v>655.81</v>
      </c>
      <c r="U5" s="36">
        <v>691.29</v>
      </c>
      <c r="V5" s="36">
        <v>676.83</v>
      </c>
      <c r="W5" s="53">
        <v>686.66</v>
      </c>
      <c r="X5" s="53">
        <v>671.19</v>
      </c>
    </row>
    <row r="6" spans="1:24" ht="15.75" x14ac:dyDescent="0.2">
      <c r="A6" s="7" t="s">
        <v>2</v>
      </c>
      <c r="B6" s="9">
        <v>2516.8000000000002</v>
      </c>
      <c r="C6" s="9">
        <v>2578.8000000000002</v>
      </c>
      <c r="D6" s="9">
        <v>2701.5</v>
      </c>
      <c r="E6" s="9">
        <v>2813.9</v>
      </c>
      <c r="F6" s="9">
        <v>2906.1</v>
      </c>
      <c r="G6" s="9">
        <v>2912.8</v>
      </c>
      <c r="H6" s="9">
        <v>3298.3</v>
      </c>
      <c r="I6" s="9">
        <v>3394.8</v>
      </c>
      <c r="J6" s="9">
        <v>3423.5</v>
      </c>
      <c r="K6" s="9">
        <f>3611470675/1000000</f>
        <v>3611.470675</v>
      </c>
      <c r="L6" s="9">
        <f>3792229554/1000000</f>
        <v>3792.229554</v>
      </c>
      <c r="M6" s="9">
        <f>3722980557/1000000</f>
        <v>3722.9805569999999</v>
      </c>
      <c r="N6" s="8">
        <f>3928667138/1000000</f>
        <v>3928.6671379999998</v>
      </c>
      <c r="O6" s="8">
        <f>3961805581/1000000</f>
        <v>3961.8055810000001</v>
      </c>
      <c r="P6" s="8">
        <f>4054602942/1000000</f>
        <v>4054.602942</v>
      </c>
      <c r="Q6" s="8">
        <f>4198786300/1000000</f>
        <v>4198.7862999999998</v>
      </c>
      <c r="R6" s="8">
        <f>4269848822/1000000</f>
        <v>4269.8488219999999</v>
      </c>
      <c r="S6" s="31">
        <f>4157351296/1000000</f>
        <v>4157.3512959999998</v>
      </c>
      <c r="T6" s="32">
        <f>4293574424/1000000</f>
        <v>4293.5744240000004</v>
      </c>
      <c r="U6" s="32">
        <v>4449.4799999999996</v>
      </c>
      <c r="V6" s="32">
        <v>4508.6039410000003</v>
      </c>
      <c r="W6" s="53">
        <f>4450766892/1000000</f>
        <v>4450.7668919999996</v>
      </c>
      <c r="X6" s="53">
        <v>4389.5202929999996</v>
      </c>
    </row>
    <row r="7" spans="1:24" ht="15.75" x14ac:dyDescent="0.2">
      <c r="A7" s="7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0"/>
      <c r="N7" s="11"/>
      <c r="O7" s="11"/>
      <c r="P7" s="11"/>
      <c r="Q7" s="11"/>
      <c r="R7" s="11"/>
      <c r="S7" s="34"/>
      <c r="T7" s="37"/>
      <c r="U7" s="37"/>
      <c r="V7" s="37"/>
      <c r="W7" s="32"/>
      <c r="X7" s="32"/>
    </row>
    <row r="8" spans="1:24" x14ac:dyDescent="0.2">
      <c r="A8" s="12" t="s">
        <v>4</v>
      </c>
      <c r="B8" s="9">
        <v>83.2</v>
      </c>
      <c r="C8" s="9">
        <v>62</v>
      </c>
      <c r="D8" s="9">
        <v>122.7</v>
      </c>
      <c r="E8" s="9">
        <v>112.4</v>
      </c>
      <c r="F8" s="9">
        <v>92.2</v>
      </c>
      <c r="G8" s="9">
        <v>6.7</v>
      </c>
      <c r="H8" s="9">
        <v>385.5</v>
      </c>
      <c r="I8" s="9">
        <v>96.4</v>
      </c>
      <c r="J8" s="9">
        <v>28.7</v>
      </c>
      <c r="K8" s="9">
        <f>187991010/1000000</f>
        <v>187.99100999999999</v>
      </c>
      <c r="L8" s="9">
        <f>180758879/1000000</f>
        <v>180.75887900000001</v>
      </c>
      <c r="M8" s="9">
        <f>-69248997/1000000</f>
        <v>-69.248997000000003</v>
      </c>
      <c r="N8" s="9">
        <f t="shared" ref="N8:U8" si="0">N6-M6</f>
        <v>205.68658099999993</v>
      </c>
      <c r="O8" s="9">
        <f t="shared" si="0"/>
        <v>33.138443000000279</v>
      </c>
      <c r="P8" s="9">
        <f t="shared" si="0"/>
        <v>92.79736099999991</v>
      </c>
      <c r="Q8" s="9">
        <f t="shared" si="0"/>
        <v>144.18335799999977</v>
      </c>
      <c r="R8" s="9">
        <f t="shared" si="0"/>
        <v>71.062522000000172</v>
      </c>
      <c r="S8" s="33">
        <f t="shared" si="0"/>
        <v>-112.49752600000011</v>
      </c>
      <c r="T8" s="32">
        <f t="shared" si="0"/>
        <v>136.22312800000054</v>
      </c>
      <c r="U8" s="32">
        <f t="shared" si="0"/>
        <v>155.9055759999992</v>
      </c>
      <c r="V8" s="32">
        <v>59.123941000000741</v>
      </c>
      <c r="W8" s="54">
        <f>W6-V6</f>
        <v>-57.837049000000661</v>
      </c>
      <c r="X8" s="54">
        <f>X6-W6</f>
        <v>-61.24659900000006</v>
      </c>
    </row>
    <row r="9" spans="1:24" x14ac:dyDescent="0.2">
      <c r="A9" s="14" t="s">
        <v>5</v>
      </c>
      <c r="B9" s="9">
        <v>3.3</v>
      </c>
      <c r="C9" s="9">
        <v>2.5</v>
      </c>
      <c r="D9" s="9">
        <v>4.8</v>
      </c>
      <c r="E9" s="9">
        <v>4.2</v>
      </c>
      <c r="F9" s="9">
        <v>3.3</v>
      </c>
      <c r="G9" s="9">
        <v>0.2</v>
      </c>
      <c r="H9" s="9">
        <v>13.2</v>
      </c>
      <c r="I9" s="9">
        <v>2.9</v>
      </c>
      <c r="J9" s="9">
        <v>0.9</v>
      </c>
      <c r="K9" s="9">
        <v>5.49</v>
      </c>
      <c r="L9" s="9">
        <v>5.01</v>
      </c>
      <c r="M9" s="9">
        <v>-1.83</v>
      </c>
      <c r="N9" s="9">
        <f t="shared" ref="N9:U9" si="1">(N6-M6)/M6*100</f>
        <v>5.5247825727498139</v>
      </c>
      <c r="O9" s="9">
        <f t="shared" si="1"/>
        <v>0.84350345386782632</v>
      </c>
      <c r="P9" s="15">
        <f t="shared" si="1"/>
        <v>2.3422997192249122</v>
      </c>
      <c r="Q9" s="15">
        <f t="shared" si="1"/>
        <v>3.5560413698333417</v>
      </c>
      <c r="R9" s="9">
        <f t="shared" si="1"/>
        <v>1.6924538884010405</v>
      </c>
      <c r="S9" s="33">
        <f t="shared" si="1"/>
        <v>-2.6346957630061056</v>
      </c>
      <c r="T9" s="32">
        <f t="shared" si="1"/>
        <v>3.2766807108907967</v>
      </c>
      <c r="U9" s="32">
        <f t="shared" si="1"/>
        <v>3.6311371506343586</v>
      </c>
      <c r="V9" s="32">
        <v>1.3287831611784018</v>
      </c>
      <c r="W9" s="36">
        <f>(W6-V6)/V6*100</f>
        <v>-1.2828150300372694</v>
      </c>
      <c r="X9" s="36">
        <f>(X6-W6)/W6*100</f>
        <v>-1.3760909184007668</v>
      </c>
    </row>
    <row r="10" spans="1:24" ht="15.75" x14ac:dyDescent="0.2">
      <c r="A10" s="7" t="s">
        <v>6</v>
      </c>
      <c r="B10" s="9">
        <v>2193.8000000000002</v>
      </c>
      <c r="C10" s="9">
        <v>2213.3000000000002</v>
      </c>
      <c r="D10" s="9">
        <v>2301.1</v>
      </c>
      <c r="E10" s="9">
        <v>2364.6</v>
      </c>
      <c r="F10" s="9">
        <v>2725.5</v>
      </c>
      <c r="G10" s="9">
        <v>2722.8</v>
      </c>
      <c r="H10" s="9">
        <v>2878.9</v>
      </c>
      <c r="I10" s="9">
        <v>3048.8</v>
      </c>
      <c r="J10" s="9">
        <v>3145.2</v>
      </c>
      <c r="K10" s="9">
        <f>3243042957/1000000</f>
        <v>3243.0429570000001</v>
      </c>
      <c r="L10" s="9">
        <f>3327567412/1000000</f>
        <v>3327.5674119999999</v>
      </c>
      <c r="M10" s="9">
        <f t="shared" ref="M10:U10" si="2">SUM(M11:M14)</f>
        <v>3389.4391969999997</v>
      </c>
      <c r="N10" s="9">
        <f t="shared" si="2"/>
        <v>3608.7707249999999</v>
      </c>
      <c r="O10" s="9">
        <f t="shared" si="2"/>
        <v>3553.0372550000002</v>
      </c>
      <c r="P10" s="9">
        <f t="shared" si="2"/>
        <v>3765.5239409999999</v>
      </c>
      <c r="Q10" s="9">
        <f t="shared" si="2"/>
        <v>3787.9080240000003</v>
      </c>
      <c r="R10" s="9">
        <f t="shared" si="2"/>
        <v>3647.6495659999996</v>
      </c>
      <c r="S10" s="33">
        <f t="shared" si="2"/>
        <v>3539.2741600000004</v>
      </c>
      <c r="T10" s="36">
        <f t="shared" si="2"/>
        <v>3684.2701750000001</v>
      </c>
      <c r="U10" s="36">
        <f t="shared" si="2"/>
        <v>3828.4861859999996</v>
      </c>
      <c r="V10" s="36">
        <v>3936.9034249999995</v>
      </c>
      <c r="W10" s="36">
        <f>SUM(W11:W14)</f>
        <v>3950.2810769999996</v>
      </c>
      <c r="X10" s="36">
        <f>SUM(X11:X14)</f>
        <v>3697.8226000000004</v>
      </c>
    </row>
    <row r="11" spans="1:24" x14ac:dyDescent="0.2">
      <c r="A11" s="12" t="s">
        <v>7</v>
      </c>
      <c r="B11" s="9" t="s">
        <v>8</v>
      </c>
      <c r="C11" s="9" t="s">
        <v>8</v>
      </c>
      <c r="D11" s="9" t="s">
        <v>8</v>
      </c>
      <c r="E11" s="9" t="s">
        <v>8</v>
      </c>
      <c r="F11" s="9" t="s">
        <v>8</v>
      </c>
      <c r="G11" s="9" t="s">
        <v>8</v>
      </c>
      <c r="H11" s="9" t="s">
        <v>8</v>
      </c>
      <c r="I11" s="9" t="s">
        <v>8</v>
      </c>
      <c r="J11" s="9" t="s">
        <v>8</v>
      </c>
      <c r="K11" s="9">
        <f>1223737480/1000000</f>
        <v>1223.73748</v>
      </c>
      <c r="L11" s="9">
        <f>1181429143/1000000</f>
        <v>1181.4291430000001</v>
      </c>
      <c r="M11" s="9">
        <f>1201699457/1000000</f>
        <v>1201.6994569999999</v>
      </c>
      <c r="N11" s="8">
        <f>1338266257/1000000</f>
        <v>1338.266257</v>
      </c>
      <c r="O11" s="8">
        <f>1338547292/1000000</f>
        <v>1338.547292</v>
      </c>
      <c r="P11" s="8">
        <f>1338884296/1000000</f>
        <v>1338.8842959999999</v>
      </c>
      <c r="Q11" s="8">
        <f>1368401758/1000000</f>
        <v>1368.401758</v>
      </c>
      <c r="R11" s="8">
        <f>1385716761/1000000</f>
        <v>1385.7167609999999</v>
      </c>
      <c r="S11" s="31">
        <f>1280978226/1000000</f>
        <v>1280.9782259999999</v>
      </c>
      <c r="T11" s="32">
        <f>1306951222/1000000</f>
        <v>1306.9512219999999</v>
      </c>
      <c r="U11" s="32">
        <f>1328661555/1000000</f>
        <v>1328.6615549999999</v>
      </c>
      <c r="V11" s="32">
        <v>1402.507642</v>
      </c>
      <c r="W11" s="53">
        <f>1420170062/1000000</f>
        <v>1420.1700619999999</v>
      </c>
      <c r="X11" s="53">
        <v>1407.6366350000001</v>
      </c>
    </row>
    <row r="12" spans="1:24" x14ac:dyDescent="0.2">
      <c r="A12" s="12" t="s">
        <v>9</v>
      </c>
      <c r="B12" s="9" t="s">
        <v>8</v>
      </c>
      <c r="C12" s="9" t="s">
        <v>8</v>
      </c>
      <c r="D12" s="9" t="s">
        <v>8</v>
      </c>
      <c r="E12" s="9" t="s">
        <v>8</v>
      </c>
      <c r="F12" s="9" t="s">
        <v>8</v>
      </c>
      <c r="G12" s="9" t="s">
        <v>8</v>
      </c>
      <c r="H12" s="9" t="s">
        <v>8</v>
      </c>
      <c r="I12" s="9" t="s">
        <v>8</v>
      </c>
      <c r="J12" s="9" t="s">
        <v>8</v>
      </c>
      <c r="K12" s="10">
        <f>726227321/1000000</f>
        <v>726.22732099999996</v>
      </c>
      <c r="L12" s="10">
        <f>831452014/1000000</f>
        <v>831.45201399999996</v>
      </c>
      <c r="M12" s="10">
        <f>877965479/1000000</f>
        <v>877.96547899999996</v>
      </c>
      <c r="N12" s="9">
        <f>967866786/1000000</f>
        <v>967.86678600000005</v>
      </c>
      <c r="O12" s="9">
        <f>970714021/1000000</f>
        <v>970.714021</v>
      </c>
      <c r="P12" s="9">
        <f>1015497689/1000000</f>
        <v>1015.497689</v>
      </c>
      <c r="Q12" s="9">
        <f>971103349/1000000</f>
        <v>971.10334899999998</v>
      </c>
      <c r="R12" s="9">
        <f>905655513/1000000</f>
        <v>905.65551300000004</v>
      </c>
      <c r="S12" s="33">
        <f>896122147/1000000</f>
        <v>896.12214700000004</v>
      </c>
      <c r="T12" s="32">
        <f>985018399/1000000</f>
        <v>985.01839900000004</v>
      </c>
      <c r="U12" s="32">
        <f>1082899923/1000000</f>
        <v>1082.8999229999999</v>
      </c>
      <c r="V12" s="32">
        <v>1091.0468619999999</v>
      </c>
      <c r="W12" s="53">
        <f>1210920944/1000000</f>
        <v>1210.920944</v>
      </c>
      <c r="X12" s="53">
        <v>1026.3690929999998</v>
      </c>
    </row>
    <row r="13" spans="1:24" x14ac:dyDescent="0.2">
      <c r="A13" s="12" t="s">
        <v>10</v>
      </c>
      <c r="B13" s="9" t="s">
        <v>8</v>
      </c>
      <c r="C13" s="9" t="s">
        <v>8</v>
      </c>
      <c r="D13" s="9" t="s">
        <v>8</v>
      </c>
      <c r="E13" s="9" t="s">
        <v>8</v>
      </c>
      <c r="F13" s="9" t="s">
        <v>8</v>
      </c>
      <c r="G13" s="9" t="s">
        <v>8</v>
      </c>
      <c r="H13" s="9" t="s">
        <v>8</v>
      </c>
      <c r="I13" s="9" t="s">
        <v>8</v>
      </c>
      <c r="J13" s="9" t="s">
        <v>8</v>
      </c>
      <c r="K13" s="9">
        <f>731213604/1000000</f>
        <v>731.21360400000003</v>
      </c>
      <c r="L13" s="9">
        <f>705805069/1000000</f>
        <v>705.805069</v>
      </c>
      <c r="M13" s="9">
        <f>733873519/1000000</f>
        <v>733.87351899999999</v>
      </c>
      <c r="N13" s="9">
        <f>659555116/1000000</f>
        <v>659.555116</v>
      </c>
      <c r="O13" s="9">
        <f>647592149/1000000</f>
        <v>647.59214899999995</v>
      </c>
      <c r="P13" s="9">
        <f>767535676/1000000</f>
        <v>767.53567599999997</v>
      </c>
      <c r="Q13" s="9">
        <f>862977327/1000000</f>
        <v>862.97732699999995</v>
      </c>
      <c r="R13" s="9">
        <f>803108660/1000000</f>
        <v>803.10865999999999</v>
      </c>
      <c r="S13" s="33">
        <f>801322028/1000000</f>
        <v>801.32202800000005</v>
      </c>
      <c r="T13" s="32">
        <f>802403743/1000000</f>
        <v>802.40374299999996</v>
      </c>
      <c r="U13" s="32">
        <f>785391614/1000000</f>
        <v>785.391614</v>
      </c>
      <c r="V13" s="32">
        <v>882.02136199999995</v>
      </c>
      <c r="W13" s="53">
        <f>775344909/1000000</f>
        <v>775.34490900000003</v>
      </c>
      <c r="X13" s="53">
        <v>738.93960400000003</v>
      </c>
    </row>
    <row r="14" spans="1:24" x14ac:dyDescent="0.2">
      <c r="A14" s="12" t="s">
        <v>11</v>
      </c>
      <c r="B14" s="16" t="s">
        <v>8</v>
      </c>
      <c r="C14" s="16" t="s">
        <v>8</v>
      </c>
      <c r="D14" s="16" t="s">
        <v>8</v>
      </c>
      <c r="E14" s="16" t="s">
        <v>8</v>
      </c>
      <c r="F14" s="16" t="s">
        <v>8</v>
      </c>
      <c r="G14" s="16" t="s">
        <v>8</v>
      </c>
      <c r="H14" s="16" t="s">
        <v>8</v>
      </c>
      <c r="I14" s="16" t="s">
        <v>8</v>
      </c>
      <c r="J14" s="16" t="s">
        <v>8</v>
      </c>
      <c r="K14" s="16">
        <f>561864552/1000000</f>
        <v>561.864552</v>
      </c>
      <c r="L14" s="9">
        <f>608881186/1000000</f>
        <v>608.88118599999996</v>
      </c>
      <c r="M14" s="9">
        <f>575900742/1000000</f>
        <v>575.90074200000004</v>
      </c>
      <c r="N14" s="9">
        <f>643082566/1000000</f>
        <v>643.08256600000004</v>
      </c>
      <c r="O14" s="9">
        <f>596183793/1000000</f>
        <v>596.18379300000004</v>
      </c>
      <c r="P14" s="9">
        <f>643606280/1000000</f>
        <v>643.60627999999997</v>
      </c>
      <c r="Q14" s="9">
        <f>585425590/1000000</f>
        <v>585.42559000000006</v>
      </c>
      <c r="R14" s="9">
        <f>553168632/1000000</f>
        <v>553.168632</v>
      </c>
      <c r="S14" s="33">
        <f>(134357959+426493800)/1000000</f>
        <v>560.85175900000002</v>
      </c>
      <c r="T14" s="32">
        <f>(156202894+433693917)/1000000</f>
        <v>589.89681099999996</v>
      </c>
      <c r="U14" s="32">
        <f>631533094/1000000</f>
        <v>631.53309400000001</v>
      </c>
      <c r="V14" s="32">
        <v>561.32755899999995</v>
      </c>
      <c r="W14" s="53">
        <f>(146068162+397777000)/1000000</f>
        <v>543.84516199999996</v>
      </c>
      <c r="X14" s="53">
        <v>524.87726799999996</v>
      </c>
    </row>
    <row r="15" spans="1:24" ht="15.75" x14ac:dyDescent="0.2">
      <c r="A15" s="7" t="s">
        <v>12</v>
      </c>
      <c r="B15" s="17"/>
      <c r="C15" s="17"/>
      <c r="D15" s="17"/>
      <c r="E15" s="17"/>
      <c r="F15" s="17"/>
      <c r="G15" s="55"/>
      <c r="H15" s="55"/>
      <c r="I15" s="55"/>
      <c r="J15" s="55"/>
      <c r="K15" s="55"/>
      <c r="L15" s="55"/>
      <c r="M15" s="10"/>
      <c r="N15" s="10"/>
      <c r="O15" s="10"/>
      <c r="P15" s="11"/>
      <c r="Q15" s="11"/>
      <c r="R15" s="10"/>
      <c r="S15" s="56"/>
      <c r="T15" s="32"/>
      <c r="U15" s="37"/>
      <c r="V15" s="37"/>
      <c r="W15" s="32"/>
      <c r="X15" s="32"/>
    </row>
    <row r="16" spans="1:24" x14ac:dyDescent="0.2">
      <c r="A16" s="12" t="s">
        <v>4</v>
      </c>
      <c r="B16" s="13">
        <v>67.5</v>
      </c>
      <c r="C16" s="13">
        <v>19.5</v>
      </c>
      <c r="D16" s="13">
        <v>87.8</v>
      </c>
      <c r="E16" s="13">
        <v>63.5</v>
      </c>
      <c r="F16" s="13">
        <v>360.8</v>
      </c>
      <c r="G16" s="9">
        <v>-2.6</v>
      </c>
      <c r="H16" s="9">
        <v>156.1</v>
      </c>
      <c r="I16" s="9">
        <v>169.9</v>
      </c>
      <c r="J16" s="9">
        <v>96.5</v>
      </c>
      <c r="K16" s="9">
        <f>97799957/1000000</f>
        <v>97.799957000000006</v>
      </c>
      <c r="L16" s="9">
        <f>84524445/1000000</f>
        <v>84.524445</v>
      </c>
      <c r="M16" s="9">
        <f>61871784/1000000</f>
        <v>61.871783999999998</v>
      </c>
      <c r="N16" s="9">
        <f t="shared" ref="N16:U16" si="3">N10-M10</f>
        <v>219.33152800000016</v>
      </c>
      <c r="O16" s="9">
        <f t="shared" si="3"/>
        <v>-55.73346999999967</v>
      </c>
      <c r="P16" s="9">
        <f t="shared" si="3"/>
        <v>212.48668599999974</v>
      </c>
      <c r="Q16" s="9">
        <f t="shared" si="3"/>
        <v>22.384083000000373</v>
      </c>
      <c r="R16" s="9">
        <f t="shared" si="3"/>
        <v>-140.2584580000007</v>
      </c>
      <c r="S16" s="33">
        <f t="shared" si="3"/>
        <v>-108.3754059999992</v>
      </c>
      <c r="T16" s="32">
        <f t="shared" si="3"/>
        <v>144.99601499999972</v>
      </c>
      <c r="U16" s="32">
        <f t="shared" si="3"/>
        <v>144.21601099999953</v>
      </c>
      <c r="V16" s="32">
        <v>108.413425</v>
      </c>
      <c r="W16" s="36">
        <f>W10-V10</f>
        <v>13.377652000000126</v>
      </c>
      <c r="X16" s="36">
        <f>X10-W10</f>
        <v>-252.45847699999922</v>
      </c>
    </row>
    <row r="17" spans="1:24" x14ac:dyDescent="0.2">
      <c r="A17" s="14" t="s">
        <v>5</v>
      </c>
      <c r="B17" s="13">
        <v>3.2</v>
      </c>
      <c r="C17" s="13">
        <v>0.9</v>
      </c>
      <c r="D17" s="13">
        <v>4</v>
      </c>
      <c r="E17" s="13">
        <v>2.8</v>
      </c>
      <c r="F17" s="13">
        <v>15.3</v>
      </c>
      <c r="G17" s="9">
        <v>-0.1</v>
      </c>
      <c r="H17" s="9">
        <v>5.7</v>
      </c>
      <c r="I17" s="9">
        <v>5.9</v>
      </c>
      <c r="J17" s="9">
        <v>3.2</v>
      </c>
      <c r="K17" s="9">
        <v>3.11</v>
      </c>
      <c r="L17" s="9">
        <v>2.61</v>
      </c>
      <c r="M17" s="9">
        <v>1.86</v>
      </c>
      <c r="N17" s="9">
        <f t="shared" ref="N17:Q17" si="4">(N10-M10)/M10*100</f>
        <v>6.4710270712078559</v>
      </c>
      <c r="O17" s="9">
        <f t="shared" si="4"/>
        <v>-1.5443893294163118</v>
      </c>
      <c r="P17" s="9">
        <f t="shared" si="4"/>
        <v>5.9804238106701115</v>
      </c>
      <c r="Q17" s="9">
        <f t="shared" si="4"/>
        <v>0.59444803301545057</v>
      </c>
      <c r="R17" s="9">
        <f>(R10-Q10)/Q10*100</f>
        <v>-3.7027947117862934</v>
      </c>
      <c r="S17" s="33">
        <f>(S10-R10)/R10*100</f>
        <v>-2.9711024603397775</v>
      </c>
      <c r="T17" s="32">
        <f>(T10-S10)/S10*100</f>
        <v>4.0967726275265353</v>
      </c>
      <c r="U17" s="32">
        <f>(U10-T10)/T10*100</f>
        <v>3.9143712092178347</v>
      </c>
      <c r="V17" s="32">
        <v>2.8317541641743804</v>
      </c>
      <c r="W17" s="36">
        <f t="shared" ref="W17:X17" si="5">(W10-V10)/V10*100</f>
        <v>0.33980137574749186</v>
      </c>
      <c r="X17" s="36">
        <f t="shared" si="5"/>
        <v>-6.3908990798124732</v>
      </c>
    </row>
    <row r="18" spans="1:24" ht="15.75" x14ac:dyDescent="0.2">
      <c r="A18" s="7" t="s">
        <v>13</v>
      </c>
      <c r="B18" s="18" t="s">
        <v>8</v>
      </c>
      <c r="C18" s="18" t="s">
        <v>8</v>
      </c>
      <c r="D18" s="11">
        <v>99.7</v>
      </c>
      <c r="E18" s="11">
        <v>99.7</v>
      </c>
      <c r="F18" s="11">
        <v>99.7</v>
      </c>
      <c r="G18" s="11">
        <v>99.7</v>
      </c>
      <c r="H18" s="11">
        <v>99.7</v>
      </c>
      <c r="I18" s="11">
        <v>99.7</v>
      </c>
      <c r="J18" s="11">
        <v>99.7</v>
      </c>
      <c r="K18" s="11">
        <v>99.7</v>
      </c>
      <c r="L18" s="11">
        <v>99.7</v>
      </c>
      <c r="M18" s="11">
        <v>99.9</v>
      </c>
      <c r="N18" s="11">
        <v>99.9</v>
      </c>
      <c r="O18" s="11">
        <v>99.9</v>
      </c>
      <c r="P18" s="11">
        <v>99.9</v>
      </c>
      <c r="Q18" s="11">
        <v>99.9</v>
      </c>
      <c r="R18" s="11">
        <v>99.9</v>
      </c>
      <c r="S18" s="34">
        <v>99.9</v>
      </c>
      <c r="T18" s="37">
        <v>99.9</v>
      </c>
      <c r="U18" s="37">
        <v>99.9</v>
      </c>
      <c r="V18" s="37">
        <v>99.9</v>
      </c>
      <c r="W18" s="37">
        <v>99.9</v>
      </c>
      <c r="X18" s="37">
        <v>99.9</v>
      </c>
    </row>
    <row r="19" spans="1:24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24" x14ac:dyDescent="0.2">
      <c r="A20" s="19" t="s">
        <v>15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3"/>
      <c r="N20" s="3"/>
      <c r="O20" s="3"/>
      <c r="P20" s="3"/>
      <c r="Q20" s="3"/>
      <c r="R20" s="3"/>
      <c r="S20" s="3"/>
    </row>
    <row r="21" spans="1:24" x14ac:dyDescent="0.2">
      <c r="A21" s="1" t="s">
        <v>35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2"/>
      <c r="P21" s="22"/>
      <c r="Q21" s="22"/>
      <c r="R21" s="22"/>
      <c r="S21" s="22"/>
    </row>
    <row r="22" spans="1:24" x14ac:dyDescent="0.2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  <c r="P22" s="22"/>
      <c r="Q22" s="22"/>
      <c r="R22" s="22"/>
      <c r="S22" s="22"/>
    </row>
    <row r="23" spans="1:24" x14ac:dyDescent="0.2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2"/>
      <c r="P23" s="22"/>
      <c r="Q23" s="22"/>
      <c r="R23" s="22"/>
      <c r="S23" s="22"/>
    </row>
    <row r="24" spans="1:24" x14ac:dyDescent="0.2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  <c r="N24" s="25"/>
      <c r="O24" s="25"/>
      <c r="P24" s="25"/>
      <c r="Q24" s="3"/>
      <c r="R24" s="3"/>
      <c r="S24" s="3"/>
    </row>
    <row r="25" spans="1:24" x14ac:dyDescent="0.2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3"/>
      <c r="R25" s="3"/>
      <c r="S25" s="3"/>
    </row>
    <row r="26" spans="1:24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4"/>
      <c r="N26" s="25"/>
      <c r="O26" s="25"/>
      <c r="P26" s="25"/>
      <c r="Q26" s="3"/>
      <c r="R26" s="3"/>
      <c r="S26" s="3"/>
    </row>
    <row r="27" spans="1:24" x14ac:dyDescent="0.2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5"/>
      <c r="O27" s="25"/>
      <c r="P27" s="25"/>
      <c r="Q27" s="3"/>
      <c r="R27" s="3"/>
      <c r="S27" s="3"/>
    </row>
    <row r="28" spans="1:24" x14ac:dyDescent="0.2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4"/>
      <c r="N28" s="25"/>
      <c r="O28" s="25"/>
      <c r="P28" s="25"/>
      <c r="Q28" s="3"/>
      <c r="R28" s="3"/>
      <c r="S28" s="3"/>
    </row>
    <row r="29" spans="1:24" x14ac:dyDescent="0.2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3"/>
      <c r="R29" s="3"/>
      <c r="S29" s="3"/>
    </row>
    <row r="30" spans="1:24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7"/>
      <c r="N30" s="25"/>
      <c r="O30" s="25"/>
      <c r="P30" s="25"/>
      <c r="Q30" s="3"/>
      <c r="R30" s="3"/>
      <c r="S30" s="3"/>
    </row>
    <row r="31" spans="1:24" x14ac:dyDescent="0.2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8"/>
      <c r="O31" s="28"/>
      <c r="P31" s="28"/>
      <c r="Q31" s="3"/>
      <c r="R31" s="3"/>
      <c r="S31" s="3"/>
    </row>
    <row r="32" spans="1:24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3"/>
      <c r="R32" s="3"/>
      <c r="S32" s="3"/>
    </row>
    <row r="33" spans="2:19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1"/>
      <c r="M33" s="1"/>
      <c r="N33" s="25"/>
      <c r="O33" s="25"/>
      <c r="P33" s="25"/>
      <c r="Q33" s="3"/>
      <c r="R33" s="3"/>
      <c r="S33" s="3"/>
    </row>
    <row r="34" spans="2:19" x14ac:dyDescent="0.2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3"/>
      <c r="R34" s="3"/>
      <c r="S34" s="3"/>
    </row>
    <row r="35" spans="2:19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"/>
      <c r="R35" s="3"/>
      <c r="S35" s="3"/>
    </row>
    <row r="36" spans="2:19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"/>
      <c r="R36" s="3"/>
      <c r="S36" s="3"/>
    </row>
    <row r="37" spans="2:19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3"/>
      <c r="R37" s="3"/>
      <c r="S37" s="3"/>
    </row>
    <row r="38" spans="2:19" x14ac:dyDescent="0.2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  <c r="O38" s="30"/>
      <c r="P38" s="30"/>
      <c r="Q38" s="3"/>
      <c r="R38" s="3"/>
      <c r="S38" s="3"/>
    </row>
    <row r="39" spans="2:19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3"/>
      <c r="R39" s="3"/>
      <c r="S39" s="3"/>
    </row>
    <row r="40" spans="2:19" x14ac:dyDescent="0.2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2:19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9" x14ac:dyDescent="0.2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9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2:19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2:19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2:19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2:19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2:19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2:16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2:16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2:16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2:16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2:16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2:16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2:16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2:16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2:16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2:16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2:16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2:16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6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6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6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x14ac:dyDescent="0.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x14ac:dyDescent="0.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2:16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2:16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2:16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2:16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2:16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2:16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2:16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2:16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2:16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2:16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2:16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2:16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2:16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2:16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6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2:16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16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2:16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2:16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2:16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2:16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2:16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2:16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2:16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2:16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2:16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2:16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2:16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2:16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2:16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2:16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2:16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2:16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2:16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2:16" x14ac:dyDescent="0.2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2:16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2:16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2:16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2:16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2:16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2:16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2:16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2:16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2:16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2:16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2:16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2:16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2:16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2:16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2:16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2:16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2:16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2:16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2:16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2:16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2:16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2:16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2:16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2:16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2:16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2:16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2:16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2:16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2:16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2:16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2:16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2:16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2:16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2:16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2:16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2:16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2:16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2:16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2:16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2:16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2:16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2:16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2:16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2:16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2:16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2:16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2:16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2:16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2:16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2:16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2:16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2:16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2:16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2:16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2:16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2:16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2:16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2:16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2:16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2:16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2:16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2:16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2:16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2:16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2:16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2:16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2:16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2:16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2:16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2:16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2:16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2:16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2:16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2:16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2:16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2:16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2:16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2:16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2:16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2:16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2:16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2:16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2:16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2:16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2:16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2:16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2:16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2:16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2:16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2:16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2:16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2:16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2:16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2:16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2:16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2:16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2:16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2:16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2:16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2:16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2:16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2:16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2:16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2:16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2:16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2:16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2:16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2:16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2:16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2:16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2:16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2:16" x14ac:dyDescent="0.2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2:16" x14ac:dyDescent="0.2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2:16" x14ac:dyDescent="0.2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2:16" x14ac:dyDescent="0.2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2:16" x14ac:dyDescent="0.2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2:16" x14ac:dyDescent="0.2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</sheetData>
  <mergeCells count="1">
    <mergeCell ref="A1:W1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C019FB-1B26-4700-AD72-D477A9F6B0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395c1-c26a-485a-a474-2edaaa77b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D71504-E43F-4362-9E22-CA0BCE32415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30D5AE3-DCC3-4135-B81B-351D06050D3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EA2DB24-B213-473D-BEB2-144FFEC8AB22}">
  <ds:schemaRefs>
    <ds:schemaRef ds:uri="http://purl.org/dc/elements/1.1/"/>
    <ds:schemaRef ds:uri="3eb395c1-c26a-485a-a474-2edaaa77b21c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2019-03-02T07:16:29Z</dcterms:created>
  <dcterms:modified xsi:type="dcterms:W3CDTF">2024-02-07T05:44:28Z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